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Regulierung\Regulierung\Netzentgeltkalkulation\NNE_2027\Gas 27\NNE G27\"/>
    </mc:Choice>
  </mc:AlternateContent>
  <xr:revisionPtr revIDLastSave="0" documentId="13_ncr:9_{A6BA7E75-926D-4E97-80F5-A9E5B26E7004}" xr6:coauthVersionLast="47" xr6:coauthVersionMax="47" xr10:uidLastSave="{00000000-0000-0000-0000-000000000000}"/>
  <bookViews>
    <workbookView xWindow="-25785" yWindow="2055" windowWidth="21600" windowHeight="12150" xr2:uid="{D68A52C8-704F-44BE-BC5E-00BDB637E0D4}"/>
  </bookViews>
  <sheets>
    <sheet name="NNE_SWT" sheetId="9" r:id="rId1"/>
    <sheet name="SLP" sheetId="10" state="hidden" r:id="rId2"/>
    <sheet name="RLM" sheetId="11" state="hidden" r:id="rId3"/>
  </sheets>
  <definedNames>
    <definedName name="_xlnm.Print_Area" localSheetId="2">RLM!$A$1:$I$45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1" l="1"/>
  <c r="G9" i="10"/>
  <c r="I10" i="11"/>
  <c r="I9" i="11"/>
  <c r="C33" i="9"/>
  <c r="C32" i="9"/>
  <c r="C31" i="9"/>
  <c r="C30" i="9"/>
  <c r="G10" i="10"/>
  <c r="G6" i="10"/>
  <c r="C34" i="9"/>
  <c r="C29" i="9"/>
  <c r="C28" i="9"/>
  <c r="C27" i="9"/>
  <c r="C26" i="9"/>
  <c r="F27" i="11"/>
  <c r="C28" i="11"/>
  <c r="F28" i="11"/>
  <c r="C29" i="11"/>
  <c r="I30" i="11"/>
  <c r="C30" i="11"/>
  <c r="H30" i="11"/>
  <c r="C31" i="11"/>
  <c r="C32" i="11"/>
  <c r="H32" i="11"/>
  <c r="C33" i="11"/>
  <c r="I34" i="11"/>
  <c r="C34" i="11"/>
  <c r="I16" i="11"/>
  <c r="C16" i="11"/>
  <c r="F9" i="11"/>
  <c r="H9" i="11"/>
  <c r="G9" i="11"/>
  <c r="F10" i="11"/>
  <c r="I11" i="11"/>
  <c r="C11" i="11"/>
  <c r="C12" i="11"/>
  <c r="H12" i="11"/>
  <c r="C13" i="11"/>
  <c r="H13" i="11"/>
  <c r="C14" i="11"/>
  <c r="I15" i="11"/>
  <c r="C15" i="11"/>
  <c r="H15" i="11"/>
  <c r="C10" i="11"/>
  <c r="C35" i="9"/>
  <c r="C37" i="9"/>
  <c r="F29" i="11"/>
  <c r="F30" i="11"/>
  <c r="F31" i="11"/>
  <c r="F11" i="11"/>
  <c r="F12" i="11"/>
  <c r="F13" i="11"/>
  <c r="F16" i="11"/>
  <c r="I6" i="10"/>
  <c r="H6" i="10"/>
  <c r="F14" i="11"/>
  <c r="F15" i="11"/>
  <c r="F32" i="11"/>
  <c r="F33" i="11"/>
  <c r="F34" i="11"/>
  <c r="I14" i="11"/>
  <c r="H10" i="11"/>
  <c r="H16" i="11"/>
  <c r="G16" i="11"/>
  <c r="I7" i="10"/>
  <c r="H7" i="10"/>
  <c r="H14" i="11"/>
  <c r="I10" i="10"/>
  <c r="H10" i="10"/>
  <c r="H33" i="11"/>
  <c r="I31" i="11"/>
  <c r="H29" i="11"/>
  <c r="H28" i="11"/>
  <c r="H27" i="11"/>
  <c r="G7" i="10"/>
  <c r="G11" i="10"/>
  <c r="I9" i="10"/>
  <c r="H9" i="10"/>
  <c r="H34" i="11"/>
  <c r="G34" i="11"/>
  <c r="I32" i="11"/>
  <c r="I27" i="11"/>
  <c r="G27" i="11"/>
  <c r="G8" i="10"/>
  <c r="I11" i="10"/>
  <c r="I8" i="10"/>
  <c r="H8" i="10"/>
  <c r="I33" i="11"/>
  <c r="H31" i="11"/>
  <c r="G31" i="11"/>
  <c r="I29" i="11"/>
  <c r="G29" i="11"/>
  <c r="I28" i="11"/>
  <c r="G28" i="11"/>
  <c r="I13" i="11"/>
  <c r="H11" i="11"/>
  <c r="H11" i="10"/>
  <c r="G12" i="11"/>
  <c r="G30" i="11"/>
  <c r="G33" i="11"/>
  <c r="G10" i="11"/>
  <c r="G32" i="11"/>
  <c r="G15" i="11"/>
  <c r="G13" i="11"/>
  <c r="H12" i="10"/>
  <c r="H13" i="10"/>
  <c r="G35" i="11"/>
  <c r="G36" i="11"/>
  <c r="C21" i="9"/>
  <c r="B21" i="9"/>
  <c r="G11" i="11"/>
  <c r="G14" i="11"/>
  <c r="G17" i="11"/>
  <c r="G18" i="11"/>
  <c r="C22" i="9"/>
  <c r="C23" i="9"/>
  <c r="B22" i="9"/>
  <c r="D22" i="9"/>
  <c r="B23" i="9"/>
  <c r="C39" i="9"/>
</calcChain>
</file>

<file path=xl/sharedStrings.xml><?xml version="1.0" encoding="utf-8"?>
<sst xmlns="http://schemas.openxmlformats.org/spreadsheetml/2006/main" count="117" uniqueCount="50">
  <si>
    <t>kWh</t>
  </si>
  <si>
    <t>EUR</t>
  </si>
  <si>
    <t>Summe</t>
  </si>
  <si>
    <t>Temp</t>
  </si>
  <si>
    <t>kW</t>
  </si>
  <si>
    <t>ct/kWh</t>
  </si>
  <si>
    <t>€/a</t>
  </si>
  <si>
    <t>Leistungspreis</t>
  </si>
  <si>
    <t>RLM</t>
  </si>
  <si>
    <t>Jahresarbeit</t>
  </si>
  <si>
    <t>max. Leistung</t>
  </si>
  <si>
    <t>Kundengruppe</t>
  </si>
  <si>
    <t>€/kW</t>
  </si>
  <si>
    <t>AP=</t>
  </si>
  <si>
    <t>LP=</t>
  </si>
  <si>
    <t>Summe=</t>
  </si>
  <si>
    <t>Messung</t>
  </si>
  <si>
    <t>1.1 Netzentgelte für Entnahmen ohne Leistungsmessung</t>
  </si>
  <si>
    <t>Arbeitspreis</t>
  </si>
  <si>
    <t>Zone</t>
  </si>
  <si>
    <t>von</t>
  </si>
  <si>
    <t>bis</t>
  </si>
  <si>
    <t>JA</t>
  </si>
  <si>
    <t>1.2.1 Leistungspreis für Entnahmen mit Leistungsmessung</t>
  </si>
  <si>
    <t>Jahreshöchstleistung</t>
  </si>
  <si>
    <t>LV</t>
  </si>
  <si>
    <t>1.2.2 Arbeitspreis für Entnahmen mit Leistungsmessung</t>
  </si>
  <si>
    <t>LA</t>
  </si>
  <si>
    <t>Kundenangaben</t>
  </si>
  <si>
    <t xml:space="preserve">Mengenumwerter (MEUW) </t>
  </si>
  <si>
    <t>Fernauslesung/Modem</t>
  </si>
  <si>
    <t>G 2,5 - G 6</t>
  </si>
  <si>
    <t>G 10 - G 25</t>
  </si>
  <si>
    <t>G 40 - G 100</t>
  </si>
  <si>
    <t>größer G 100</t>
  </si>
  <si>
    <t>SLP</t>
  </si>
  <si>
    <t>Mengenumwerter</t>
  </si>
  <si>
    <t>Abrechnungsintervall</t>
  </si>
  <si>
    <t>Zwischen-Summe</t>
  </si>
  <si>
    <t>Messstellenbetrieb</t>
  </si>
  <si>
    <t>Messdienstleistung</t>
  </si>
  <si>
    <t>Netzentgeltrechner Gas</t>
  </si>
  <si>
    <t>AP</t>
  </si>
  <si>
    <t>GP</t>
  </si>
  <si>
    <t>Jahresmenge</t>
  </si>
  <si>
    <t>Netzentgelt</t>
  </si>
  <si>
    <t>AP =</t>
  </si>
  <si>
    <t>LP =</t>
  </si>
  <si>
    <t>gößer 1,5 Mio. kWh</t>
  </si>
  <si>
    <t>Preisstand: 01.01.2027 - vorläufiges Entgelt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</si>
</sst>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5" formatCode="_-* #,##0.00\ _€_-;\-* #,##0.00\ _€_-;_-* &quot;-&quot;??\ _€_-;_-@_-"/>
    <numFmt numFmtId="169" formatCode="0.000"/>
    <numFmt numFmtId="179" formatCode="#,##0.0000"/>
    <numFmt numFmtId="183" formatCode="#,##0.000"/>
    <numFmt numFmtId="197" formatCode="_(* #,##0.00_);_(* \(#,##0.00\);_(* &quot;-&quot;??_);_(@_)"/>
    <numFmt numFmtId="198" formatCode="_(* #,##0.0_);_(* \(#,##0.0\);_(* &quot;-&quot;??_);_(@_)"/>
    <numFmt numFmtId="202" formatCode="_(* #,##0_);_(* \(#,##0\);_(* &quot;-&quot;??_);_(@_)"/>
  </numFmts>
  <fonts count="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b/>
      <sz val="1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9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2" borderId="0" xfId="0" applyFill="1"/>
    <xf numFmtId="0" fontId="0" fillId="0" borderId="1" xfId="0" applyBorder="1"/>
    <xf numFmtId="183" fontId="1" fillId="0" borderId="1" xfId="1" applyNumberFormat="1" applyBorder="1"/>
    <xf numFmtId="183" fontId="1" fillId="3" borderId="1" xfId="1" applyNumberFormat="1" applyFill="1" applyBorder="1"/>
    <xf numFmtId="197" fontId="1" fillId="0" borderId="0" xfId="1"/>
    <xf numFmtId="197" fontId="1" fillId="3" borderId="1" xfId="1" applyFill="1" applyBorder="1"/>
    <xf numFmtId="0" fontId="4" fillId="0" borderId="0" xfId="0" applyFont="1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3" fillId="0" borderId="0" xfId="0" applyFont="1"/>
    <xf numFmtId="0" fontId="0" fillId="3" borderId="1" xfId="0" applyFill="1" applyBorder="1"/>
    <xf numFmtId="0" fontId="0" fillId="2" borderId="2" xfId="0" applyFill="1" applyBorder="1"/>
    <xf numFmtId="0" fontId="0" fillId="2" borderId="3" xfId="0" applyFill="1" applyBorder="1"/>
    <xf numFmtId="3" fontId="0" fillId="0" borderId="1" xfId="0" applyNumberFormat="1" applyBorder="1"/>
    <xf numFmtId="0" fontId="0" fillId="2" borderId="0" xfId="0" applyFill="1" applyBorder="1"/>
    <xf numFmtId="3" fontId="0" fillId="0" borderId="0" xfId="0" applyNumberFormat="1" applyBorder="1"/>
    <xf numFmtId="0" fontId="0" fillId="0" borderId="0" xfId="0" applyBorder="1"/>
    <xf numFmtId="183" fontId="0" fillId="3" borderId="4" xfId="0" applyNumberFormat="1" applyFill="1" applyBorder="1"/>
    <xf numFmtId="183" fontId="3" fillId="3" borderId="5" xfId="0" applyNumberFormat="1" applyFont="1" applyFill="1" applyBorder="1"/>
    <xf numFmtId="0" fontId="5" fillId="0" borderId="0" xfId="0" applyFont="1"/>
    <xf numFmtId="3" fontId="5" fillId="0" borderId="0" xfId="0" applyNumberFormat="1" applyFont="1"/>
    <xf numFmtId="3" fontId="0" fillId="0" borderId="0" xfId="0" applyNumberFormat="1"/>
    <xf numFmtId="197" fontId="0" fillId="3" borderId="4" xfId="0" applyNumberFormat="1" applyFill="1" applyBorder="1"/>
    <xf numFmtId="165" fontId="3" fillId="3" borderId="5" xfId="0" applyNumberFormat="1" applyFont="1" applyFill="1" applyBorder="1"/>
    <xf numFmtId="165" fontId="3" fillId="0" borderId="0" xfId="0" applyNumberFormat="1" applyFont="1"/>
    <xf numFmtId="165" fontId="0" fillId="0" borderId="3" xfId="2" applyFont="1" applyBorder="1"/>
    <xf numFmtId="0" fontId="3" fillId="0" borderId="6" xfId="3" applyFont="1" applyBorder="1"/>
    <xf numFmtId="0" fontId="0" fillId="0" borderId="6" xfId="0" applyBorder="1"/>
    <xf numFmtId="0" fontId="0" fillId="0" borderId="7" xfId="0" applyBorder="1"/>
    <xf numFmtId="197" fontId="1" fillId="0" borderId="1" xfId="1" applyBorder="1"/>
    <xf numFmtId="0" fontId="0" fillId="3" borderId="8" xfId="0" applyFill="1" applyBorder="1"/>
    <xf numFmtId="0" fontId="0" fillId="2" borderId="1" xfId="0" applyFill="1" applyBorder="1" applyAlignment="1">
      <alignment horizontal="center"/>
    </xf>
    <xf numFmtId="4" fontId="3" fillId="0" borderId="6" xfId="3" applyNumberFormat="1" applyFont="1" applyBorder="1"/>
    <xf numFmtId="4" fontId="1" fillId="0" borderId="1" xfId="1" applyNumberFormat="1" applyBorder="1"/>
    <xf numFmtId="4" fontId="0" fillId="0" borderId="0" xfId="0" applyNumberFormat="1"/>
    <xf numFmtId="198" fontId="1" fillId="3" borderId="5" xfId="1" applyNumberFormat="1" applyFill="1" applyBorder="1"/>
    <xf numFmtId="202" fontId="1" fillId="3" borderId="5" xfId="1" applyNumberFormat="1" applyFill="1" applyBorder="1"/>
    <xf numFmtId="4" fontId="0" fillId="0" borderId="7" xfId="0" applyNumberFormat="1" applyBorder="1"/>
    <xf numFmtId="0" fontId="3" fillId="0" borderId="0" xfId="0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0" fillId="2" borderId="9" xfId="0" applyFont="1" applyFill="1" applyBorder="1"/>
    <xf numFmtId="0" fontId="7" fillId="2" borderId="3" xfId="0" applyFont="1" applyFill="1" applyBorder="1"/>
    <xf numFmtId="0" fontId="7" fillId="0" borderId="0" xfId="0" applyFont="1" applyBorder="1" applyAlignment="1">
      <alignment horizontal="right"/>
    </xf>
    <xf numFmtId="179" fontId="1" fillId="0" borderId="1" xfId="1" applyNumberFormat="1" applyBorder="1"/>
    <xf numFmtId="0" fontId="6" fillId="4" borderId="0" xfId="0" applyFont="1" applyFill="1" applyAlignment="1">
      <alignment horizontal="left"/>
    </xf>
    <xf numFmtId="0" fontId="7" fillId="0" borderId="1" xfId="0" applyFont="1" applyBorder="1"/>
    <xf numFmtId="2" fontId="7" fillId="0" borderId="3" xfId="0" applyNumberFormat="1" applyFont="1" applyBorder="1"/>
    <xf numFmtId="2" fontId="7" fillId="0" borderId="1" xfId="0" applyNumberFormat="1" applyFont="1" applyBorder="1"/>
    <xf numFmtId="169" fontId="7" fillId="0" borderId="1" xfId="0" applyNumberFormat="1" applyFont="1" applyBorder="1"/>
  </cellXfs>
  <cellStyles count="4">
    <cellStyle name="Dezimal_Gas_Netzentgelterechner_SWT" xfId="1" xr:uid="{89BB0A14-BBC7-496D-A0EA-0F3BF5B16236}"/>
    <cellStyle name="Komma" xfId="2" builtinId="3"/>
    <cellStyle name="Standard" xfId="0" builtinId="0"/>
    <cellStyle name="Standard_Gas_Netzentgelterechner_SWT" xfId="3" xr:uid="{2C99B3BB-AFAE-4648-848A-CB09A275FB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3.emf"/><Relationship Id="rId1" Type="http://schemas.openxmlformats.org/officeDocument/2006/relationships/image" Target="../media/image4.emf"/><Relationship Id="rId4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8</xdr:row>
          <xdr:rowOff>95250</xdr:rowOff>
        </xdr:from>
        <xdr:to>
          <xdr:col>1</xdr:col>
          <xdr:colOff>736600</xdr:colOff>
          <xdr:row>10</xdr:row>
          <xdr:rowOff>12700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FB6510D-230B-6D8B-3B13-6838F63F7D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13</xdr:row>
          <xdr:rowOff>0</xdr:rowOff>
        </xdr:from>
        <xdr:to>
          <xdr:col>1</xdr:col>
          <xdr:colOff>730250</xdr:colOff>
          <xdr:row>14</xdr:row>
          <xdr:rowOff>25400</xdr:rowOff>
        </xdr:to>
        <xdr:sp macro="" textlink="">
          <xdr:nvSpPr>
            <xdr:cNvPr id="1028" name="ComboBox2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E13A9E57-8D3D-6133-5BD4-19B68E5925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10</xdr:row>
          <xdr:rowOff>76200</xdr:rowOff>
        </xdr:from>
        <xdr:to>
          <xdr:col>1</xdr:col>
          <xdr:colOff>781050</xdr:colOff>
          <xdr:row>12</xdr:row>
          <xdr:rowOff>31750</xdr:rowOff>
        </xdr:to>
        <xdr:sp macro="" textlink="">
          <xdr:nvSpPr>
            <xdr:cNvPr id="1029" name="CheckBox1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587EBDF6-9CB4-5931-482B-35951F5C54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14</xdr:row>
          <xdr:rowOff>82550</xdr:rowOff>
        </xdr:from>
        <xdr:to>
          <xdr:col>1</xdr:col>
          <xdr:colOff>781050</xdr:colOff>
          <xdr:row>16</xdr:row>
          <xdr:rowOff>38100</xdr:rowOff>
        </xdr:to>
        <xdr:sp macro="" textlink="">
          <xdr:nvSpPr>
            <xdr:cNvPr id="1030" name="CheckBox2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B116F1FA-3E3B-EEE2-DE4A-D1274DE34F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444500</xdr:colOff>
      <xdr:row>0</xdr:row>
      <xdr:rowOff>0</xdr:rowOff>
    </xdr:from>
    <xdr:to>
      <xdr:col>3</xdr:col>
      <xdr:colOff>527050</xdr:colOff>
      <xdr:row>1</xdr:row>
      <xdr:rowOff>63500</xdr:rowOff>
    </xdr:to>
    <xdr:pic>
      <xdr:nvPicPr>
        <xdr:cNvPr id="1142" name="Picture 7" descr="swt-Logo 2006-geringe Auflösung">
          <a:extLst>
            <a:ext uri="{FF2B5EF4-FFF2-40B4-BE49-F238E27FC236}">
              <a16:creationId xmlns:a16="http://schemas.microsoft.com/office/drawing/2014/main" id="{857CF52E-A0D6-E2FF-6D31-58C0DC27A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100" y="0"/>
          <a:ext cx="88265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EE176-4C07-4F56-83A7-15FC31A59579}">
  <sheetPr codeName="Tabelle4"/>
  <dimension ref="A1:F45"/>
  <sheetViews>
    <sheetView tabSelected="1" zoomScaleNormal="100" workbookViewId="0">
      <selection activeCell="C16" sqref="C16"/>
    </sheetView>
  </sheetViews>
  <sheetFormatPr baseColWidth="10" defaultColWidth="0" defaultRowHeight="12.5" zeroHeight="1" x14ac:dyDescent="0.25"/>
  <cols>
    <col min="1" max="1" width="18.453125" customWidth="1"/>
    <col min="2" max="2" width="17.54296875" bestFit="1" customWidth="1"/>
    <col min="3" max="4" width="11.453125" customWidth="1"/>
  </cols>
  <sheetData>
    <row r="1" spans="1:6" ht="23" x14ac:dyDescent="0.5">
      <c r="A1" s="46" t="s">
        <v>41</v>
      </c>
      <c r="B1" s="46"/>
      <c r="C1" s="46"/>
      <c r="D1" s="46"/>
    </row>
    <row r="2" spans="1:6" s="40" customFormat="1" ht="13" x14ac:dyDescent="0.3">
      <c r="A2" s="39" t="s">
        <v>49</v>
      </c>
      <c r="B2" s="39"/>
      <c r="C2" s="39"/>
      <c r="D2" s="39"/>
    </row>
    <row r="3" spans="1:6" s="40" customFormat="1" ht="13" x14ac:dyDescent="0.3">
      <c r="A3" s="39"/>
      <c r="B3" s="39"/>
      <c r="C3" s="39"/>
      <c r="D3" s="39"/>
    </row>
    <row r="4" spans="1:6" x14ac:dyDescent="0.25">
      <c r="A4" t="s">
        <v>28</v>
      </c>
      <c r="F4" s="7"/>
    </row>
    <row r="5" spans="1:6" ht="13" thickBot="1" x14ac:dyDescent="0.3"/>
    <row r="6" spans="1:6" ht="13" thickBot="1" x14ac:dyDescent="0.3">
      <c r="A6" s="41" t="s">
        <v>44</v>
      </c>
      <c r="B6" s="37">
        <v>5000000</v>
      </c>
      <c r="C6" t="s">
        <v>0</v>
      </c>
    </row>
    <row r="7" spans="1:6" ht="13" thickBot="1" x14ac:dyDescent="0.3"/>
    <row r="8" spans="1:6" ht="13" thickBot="1" x14ac:dyDescent="0.3">
      <c r="A8" t="s">
        <v>10</v>
      </c>
      <c r="B8" s="36">
        <v>1350</v>
      </c>
      <c r="C8" t="s">
        <v>4</v>
      </c>
    </row>
    <row r="9" spans="1:6" x14ac:dyDescent="0.25"/>
    <row r="10" spans="1:6" x14ac:dyDescent="0.25">
      <c r="A10" t="s">
        <v>11</v>
      </c>
      <c r="B10" t="s">
        <v>8</v>
      </c>
      <c r="F10" s="7" t="s">
        <v>8</v>
      </c>
    </row>
    <row r="11" spans="1:6" x14ac:dyDescent="0.25">
      <c r="F11" s="7" t="s">
        <v>35</v>
      </c>
    </row>
    <row r="12" spans="1:6" x14ac:dyDescent="0.25">
      <c r="A12" t="s">
        <v>36</v>
      </c>
      <c r="B12" t="b">
        <v>0</v>
      </c>
    </row>
    <row r="13" spans="1:6" x14ac:dyDescent="0.25"/>
    <row r="14" spans="1:6" x14ac:dyDescent="0.25">
      <c r="A14" t="s">
        <v>16</v>
      </c>
      <c r="B14" t="s">
        <v>33</v>
      </c>
    </row>
    <row r="15" spans="1:6" x14ac:dyDescent="0.25"/>
    <row r="16" spans="1:6" x14ac:dyDescent="0.25">
      <c r="A16" t="s">
        <v>37</v>
      </c>
      <c r="B16" t="b">
        <v>0</v>
      </c>
    </row>
    <row r="17" spans="1:4" x14ac:dyDescent="0.25"/>
    <row r="18" spans="1:4" x14ac:dyDescent="0.25"/>
    <row r="19" spans="1:4" x14ac:dyDescent="0.25">
      <c r="A19" s="41" t="s">
        <v>45</v>
      </c>
    </row>
    <row r="20" spans="1:4" x14ac:dyDescent="0.25">
      <c r="B20" s="8" t="s">
        <v>1</v>
      </c>
      <c r="C20" s="8" t="s">
        <v>5</v>
      </c>
      <c r="D20" s="8" t="s">
        <v>12</v>
      </c>
    </row>
    <row r="21" spans="1:4" x14ac:dyDescent="0.25">
      <c r="A21" s="9" t="s">
        <v>13</v>
      </c>
      <c r="B21" s="34">
        <f>IF(B10="SLP",SLP!H12,IF(B10="RLM",RLM!G35,0))</f>
        <v>18640</v>
      </c>
      <c r="C21" s="3">
        <f>IF(B10="SLP",SLP!H13,IF(B10="RLM",RLM!G36,0))</f>
        <v>0.37280000000000002</v>
      </c>
      <c r="D21" s="2"/>
    </row>
    <row r="22" spans="1:4" x14ac:dyDescent="0.25">
      <c r="A22" s="9" t="s">
        <v>14</v>
      </c>
      <c r="B22" s="34">
        <f>IF(B10="SLP",0,IF(B10="RLM",RLM!G17,0))</f>
        <v>29052.269999999997</v>
      </c>
      <c r="C22" s="3">
        <f>IF(B10="SLP",0,IF(B10="RLM",RLM!G18,0))</f>
        <v>0.58104539999999993</v>
      </c>
      <c r="D22" s="34">
        <f>B22/B8</f>
        <v>21.520199999999999</v>
      </c>
    </row>
    <row r="23" spans="1:4" x14ac:dyDescent="0.25">
      <c r="A23" s="9" t="s">
        <v>15</v>
      </c>
      <c r="B23" s="34">
        <f>SUM(B21:B22)</f>
        <v>47692.27</v>
      </c>
      <c r="C23" s="45">
        <f>SUM(C21:C22)</f>
        <v>0.95384539999999995</v>
      </c>
      <c r="D23" s="2"/>
    </row>
    <row r="24" spans="1:4" x14ac:dyDescent="0.25"/>
    <row r="25" spans="1:4" x14ac:dyDescent="0.25"/>
    <row r="26" spans="1:4" x14ac:dyDescent="0.25">
      <c r="A26" t="s">
        <v>39</v>
      </c>
      <c r="B26" t="s">
        <v>31</v>
      </c>
      <c r="C26" s="35">
        <f>IF(B$14=B26,15.09,0)</f>
        <v>0</v>
      </c>
      <c r="D26" t="s">
        <v>6</v>
      </c>
    </row>
    <row r="27" spans="1:4" x14ac:dyDescent="0.25">
      <c r="B27" t="s">
        <v>32</v>
      </c>
      <c r="C27" s="35">
        <f>IF(B$14=B27,34.44,0)</f>
        <v>0</v>
      </c>
      <c r="D27" t="s">
        <v>6</v>
      </c>
    </row>
    <row r="28" spans="1:4" x14ac:dyDescent="0.25">
      <c r="B28" t="s">
        <v>33</v>
      </c>
      <c r="C28" s="35">
        <f>IF(B$14=B28,196.32,0)</f>
        <v>196.32</v>
      </c>
      <c r="D28" t="s">
        <v>6</v>
      </c>
    </row>
    <row r="29" spans="1:4" x14ac:dyDescent="0.25">
      <c r="A29" s="29"/>
      <c r="B29" s="29" t="s">
        <v>34</v>
      </c>
      <c r="C29" s="38">
        <f>IF(B$14=B29,753.76,0)</f>
        <v>0</v>
      </c>
      <c r="D29" s="29" t="s">
        <v>6</v>
      </c>
    </row>
    <row r="30" spans="1:4" x14ac:dyDescent="0.25">
      <c r="A30" t="s">
        <v>40</v>
      </c>
      <c r="B30" t="s">
        <v>31</v>
      </c>
      <c r="C30" s="35">
        <f>IF(B30=B14,IF(B10="RLM",242,5.2),0)</f>
        <v>0</v>
      </c>
      <c r="D30" t="s">
        <v>6</v>
      </c>
    </row>
    <row r="31" spans="1:4" x14ac:dyDescent="0.25">
      <c r="B31" t="s">
        <v>32</v>
      </c>
      <c r="C31" s="35">
        <f>IF(B31=B14,IF(B10="RLM",242,5.2),0)</f>
        <v>0</v>
      </c>
      <c r="D31" t="s">
        <v>6</v>
      </c>
    </row>
    <row r="32" spans="1:4" x14ac:dyDescent="0.25">
      <c r="B32" t="s">
        <v>33</v>
      </c>
      <c r="C32" s="35">
        <f>IF(B32=B14,IF(B10="RLM",242,5.2),0)</f>
        <v>242</v>
      </c>
      <c r="D32" t="s">
        <v>6</v>
      </c>
    </row>
    <row r="33" spans="1:4" x14ac:dyDescent="0.25">
      <c r="A33" s="29"/>
      <c r="B33" s="29" t="s">
        <v>34</v>
      </c>
      <c r="C33" s="38">
        <f>IF(B33=B14,IF(B10="RLM",242,5.2),0)</f>
        <v>0</v>
      </c>
      <c r="D33" s="29" t="s">
        <v>6</v>
      </c>
    </row>
    <row r="34" spans="1:4" x14ac:dyDescent="0.25">
      <c r="A34" t="s">
        <v>29</v>
      </c>
      <c r="C34" s="35">
        <f>IF(B10="RLM",IF(B12=TRUE,793.25,331.21),0)</f>
        <v>331.21</v>
      </c>
      <c r="D34" t="s">
        <v>6</v>
      </c>
    </row>
    <row r="35" spans="1:4" x14ac:dyDescent="0.25">
      <c r="A35" s="29" t="s">
        <v>30</v>
      </c>
      <c r="B35" s="29"/>
      <c r="C35" s="38">
        <f>IF(B10="RLM",289.17,0)</f>
        <v>289.17</v>
      </c>
      <c r="D35" s="29" t="s">
        <v>6</v>
      </c>
    </row>
    <row r="36" spans="1:4" x14ac:dyDescent="0.25"/>
    <row r="37" spans="1:4" x14ac:dyDescent="0.25">
      <c r="A37" t="s">
        <v>38</v>
      </c>
      <c r="C37" s="35">
        <f>SUM(C26:C35)</f>
        <v>1058.7</v>
      </c>
    </row>
    <row r="38" spans="1:4" x14ac:dyDescent="0.25"/>
    <row r="39" spans="1:4" ht="13.5" thickBot="1" x14ac:dyDescent="0.35">
      <c r="A39" s="27" t="s">
        <v>2</v>
      </c>
      <c r="B39" s="28"/>
      <c r="C39" s="33">
        <f>C37+B23</f>
        <v>48750.969999999994</v>
      </c>
      <c r="D39" s="27" t="s">
        <v>1</v>
      </c>
    </row>
    <row r="40" spans="1:4" ht="13" thickTop="1" x14ac:dyDescent="0.25"/>
    <row r="41" spans="1:4" x14ac:dyDescent="0.25"/>
    <row r="42" spans="1:4" x14ac:dyDescent="0.25"/>
    <row r="43" spans="1:4" x14ac:dyDescent="0.25"/>
    <row r="44" spans="1:4" x14ac:dyDescent="0.25"/>
    <row r="45" spans="1:4" x14ac:dyDescent="0.25"/>
  </sheetData>
  <protectedRanges>
    <protectedRange sqref="B10" name="Bereich2"/>
    <protectedRange sqref="B6 B8 B10" name="Bereich1"/>
  </protectedRanges>
  <mergeCells count="1">
    <mergeCell ref="A1:D1"/>
  </mergeCells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30" r:id="rId4" name="CheckBox2">
          <controlPr defaultSize="0" autoLine="0" linkedCell="B16" r:id="rId5">
            <anchor moveWithCells="1">
              <from>
                <xdr:col>1</xdr:col>
                <xdr:colOff>25400</xdr:colOff>
                <xdr:row>14</xdr:row>
                <xdr:rowOff>82550</xdr:rowOff>
              </from>
              <to>
                <xdr:col>1</xdr:col>
                <xdr:colOff>1104900</xdr:colOff>
                <xdr:row>16</xdr:row>
                <xdr:rowOff>19050</xdr:rowOff>
              </to>
            </anchor>
          </controlPr>
        </control>
      </mc:Choice>
      <mc:Fallback>
        <control shapeId="1030" r:id="rId4" name="CheckBox2"/>
      </mc:Fallback>
    </mc:AlternateContent>
    <mc:AlternateContent xmlns:mc="http://schemas.openxmlformats.org/markup-compatibility/2006">
      <mc:Choice Requires="x14">
        <control shapeId="1029" r:id="rId6" name="CheckBox1">
          <controlPr defaultSize="0" autoLine="0" linkedCell="B12" r:id="rId7">
            <anchor moveWithCells="1">
              <from>
                <xdr:col>1</xdr:col>
                <xdr:colOff>25400</xdr:colOff>
                <xdr:row>10</xdr:row>
                <xdr:rowOff>76200</xdr:rowOff>
              </from>
              <to>
                <xdr:col>1</xdr:col>
                <xdr:colOff>1104900</xdr:colOff>
                <xdr:row>12</xdr:row>
                <xdr:rowOff>12700</xdr:rowOff>
              </to>
            </anchor>
          </controlPr>
        </control>
      </mc:Choice>
      <mc:Fallback>
        <control shapeId="1029" r:id="rId6" name="CheckBox1"/>
      </mc:Fallback>
    </mc:AlternateContent>
    <mc:AlternateContent xmlns:mc="http://schemas.openxmlformats.org/markup-compatibility/2006">
      <mc:Choice Requires="x14">
        <control shapeId="1028" r:id="rId8" name="ComboBox2">
          <controlPr defaultSize="0" autoLine="0" linkedCell="B14" listFillRange="B26:B29" r:id="rId9">
            <anchor moveWithCells="1">
              <from>
                <xdr:col>1</xdr:col>
                <xdr:colOff>19050</xdr:colOff>
                <xdr:row>13</xdr:row>
                <xdr:rowOff>0</xdr:rowOff>
              </from>
              <to>
                <xdr:col>1</xdr:col>
                <xdr:colOff>1041400</xdr:colOff>
                <xdr:row>14</xdr:row>
                <xdr:rowOff>38100</xdr:rowOff>
              </to>
            </anchor>
          </controlPr>
        </control>
      </mc:Choice>
      <mc:Fallback>
        <control shapeId="1028" r:id="rId8" name="ComboBox2"/>
      </mc:Fallback>
    </mc:AlternateContent>
    <mc:AlternateContent xmlns:mc="http://schemas.openxmlformats.org/markup-compatibility/2006">
      <mc:Choice Requires="x14">
        <control shapeId="1025" r:id="rId10" name="ComboBox1">
          <controlPr defaultSize="0" autoLine="0" linkedCell="B10" listFillRange="F10:F11" r:id="rId11">
            <anchor moveWithCells="1">
              <from>
                <xdr:col>1</xdr:col>
                <xdr:colOff>25400</xdr:colOff>
                <xdr:row>8</xdr:row>
                <xdr:rowOff>95250</xdr:rowOff>
              </from>
              <to>
                <xdr:col>1</xdr:col>
                <xdr:colOff>1047750</xdr:colOff>
                <xdr:row>9</xdr:row>
                <xdr:rowOff>133350</xdr:rowOff>
              </to>
            </anchor>
          </controlPr>
        </control>
      </mc:Choice>
      <mc:Fallback>
        <control shapeId="1025" r:id="rId10" name="ComboBox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6609-0972-4FDB-92A6-1E461C93CA8D}">
  <sheetPr codeName="Tabelle6"/>
  <dimension ref="A1:I16"/>
  <sheetViews>
    <sheetView workbookViewId="0">
      <selection activeCell="E23" sqref="E23"/>
    </sheetView>
  </sheetViews>
  <sheetFormatPr baseColWidth="10" defaultRowHeight="12.5" x14ac:dyDescent="0.25"/>
  <cols>
    <col min="1" max="2" width="4.26953125" customWidth="1"/>
    <col min="7" max="7" width="14.453125" bestFit="1" customWidth="1"/>
    <col min="8" max="8" width="13.26953125" bestFit="1" customWidth="1"/>
    <col min="9" max="9" width="4.7265625" customWidth="1"/>
    <col min="10" max="10" width="5.7265625" customWidth="1"/>
  </cols>
  <sheetData>
    <row r="1" spans="1:9" ht="13" x14ac:dyDescent="0.3">
      <c r="A1" s="10" t="s">
        <v>17</v>
      </c>
    </row>
    <row r="2" spans="1:9" x14ac:dyDescent="0.25">
      <c r="A2" t="s">
        <v>9</v>
      </c>
    </row>
    <row r="3" spans="1:9" x14ac:dyDescent="0.25">
      <c r="A3" t="s">
        <v>18</v>
      </c>
    </row>
    <row r="4" spans="1:9" x14ac:dyDescent="0.25">
      <c r="A4" s="8" t="s">
        <v>19</v>
      </c>
      <c r="B4" s="8"/>
      <c r="C4" s="8" t="s">
        <v>20</v>
      </c>
      <c r="D4" s="8" t="s">
        <v>21</v>
      </c>
      <c r="E4" s="42" t="s">
        <v>42</v>
      </c>
      <c r="F4" s="42" t="s">
        <v>43</v>
      </c>
      <c r="H4" s="11" t="s">
        <v>3</v>
      </c>
    </row>
    <row r="5" spans="1:9" x14ac:dyDescent="0.25">
      <c r="A5" s="1"/>
      <c r="B5" s="1"/>
      <c r="C5" s="12" t="s">
        <v>0</v>
      </c>
      <c r="D5" s="12" t="s">
        <v>0</v>
      </c>
      <c r="E5" s="8" t="s">
        <v>5</v>
      </c>
      <c r="F5" s="43" t="s">
        <v>1</v>
      </c>
      <c r="G5" s="13" t="s">
        <v>1</v>
      </c>
      <c r="H5" s="11" t="s">
        <v>1</v>
      </c>
    </row>
    <row r="6" spans="1:9" x14ac:dyDescent="0.25">
      <c r="A6" s="8" t="s">
        <v>22</v>
      </c>
      <c r="B6" s="8">
        <v>1</v>
      </c>
      <c r="C6" s="2">
        <v>1</v>
      </c>
      <c r="D6" s="14">
        <v>1000</v>
      </c>
      <c r="E6" s="47">
        <v>3.3690000000000002</v>
      </c>
      <c r="F6" s="48">
        <v>6</v>
      </c>
      <c r="G6" s="26">
        <f>NNE_SWT!$B$6*E6/100+F6</f>
        <v>168456</v>
      </c>
      <c r="H6" s="4">
        <f t="shared" ref="H6:H11" si="0">IF(I6=1,G6,0)</f>
        <v>0</v>
      </c>
      <c r="I6">
        <f>IF(AND(NNE_SWT!B$6&gt;=C6,NNE_SWT!B$6&lt;=D6),1, 0)</f>
        <v>0</v>
      </c>
    </row>
    <row r="7" spans="1:9" x14ac:dyDescent="0.25">
      <c r="A7" s="8" t="s">
        <v>22</v>
      </c>
      <c r="B7" s="8">
        <v>2</v>
      </c>
      <c r="C7" s="14">
        <v>1001</v>
      </c>
      <c r="D7" s="14">
        <v>4000</v>
      </c>
      <c r="E7" s="47">
        <v>2.7690000000000001</v>
      </c>
      <c r="F7" s="48">
        <v>12</v>
      </c>
      <c r="G7" s="26">
        <f>NNE_SWT!$B$6*E7/100+F7</f>
        <v>138462</v>
      </c>
      <c r="H7" s="4">
        <f t="shared" si="0"/>
        <v>0</v>
      </c>
      <c r="I7">
        <f>IF(AND(NNE_SWT!B$6&gt;=C7,NNE_SWT!B$6&lt;=D7),1, 0)</f>
        <v>0</v>
      </c>
    </row>
    <row r="8" spans="1:9" x14ac:dyDescent="0.25">
      <c r="A8" s="8" t="s">
        <v>22</v>
      </c>
      <c r="B8" s="8">
        <v>3</v>
      </c>
      <c r="C8" s="14">
        <v>4001</v>
      </c>
      <c r="D8" s="14">
        <v>50000</v>
      </c>
      <c r="E8" s="47">
        <v>2.4689999999999999</v>
      </c>
      <c r="F8" s="48">
        <v>24</v>
      </c>
      <c r="G8" s="26">
        <f>NNE_SWT!$B$6*E8/100+F8</f>
        <v>123474</v>
      </c>
      <c r="H8" s="4">
        <f t="shared" si="0"/>
        <v>0</v>
      </c>
      <c r="I8">
        <f>IF(AND(NNE_SWT!B$6&gt;=C8,NNE_SWT!B$6&lt;=D8),1, 0)</f>
        <v>0</v>
      </c>
    </row>
    <row r="9" spans="1:9" x14ac:dyDescent="0.25">
      <c r="A9" s="8" t="s">
        <v>22</v>
      </c>
      <c r="B9" s="8">
        <v>4</v>
      </c>
      <c r="C9" s="14">
        <v>50001</v>
      </c>
      <c r="D9" s="14">
        <v>150000</v>
      </c>
      <c r="E9" s="47">
        <v>2.2770000000000001</v>
      </c>
      <c r="F9" s="48">
        <v>120</v>
      </c>
      <c r="G9" s="26">
        <f>NNE_SWT!$B$6*E9/100+F9</f>
        <v>113970</v>
      </c>
      <c r="H9" s="4">
        <f t="shared" si="0"/>
        <v>0</v>
      </c>
      <c r="I9">
        <f>IF(AND(NNE_SWT!B$6&gt;=C9,NNE_SWT!B$6&lt;=D9),1, 0)</f>
        <v>0</v>
      </c>
    </row>
    <row r="10" spans="1:9" x14ac:dyDescent="0.25">
      <c r="A10" s="8" t="s">
        <v>22</v>
      </c>
      <c r="B10" s="8">
        <v>5</v>
      </c>
      <c r="C10" s="14">
        <v>150001</v>
      </c>
      <c r="D10" s="14">
        <v>1500000</v>
      </c>
      <c r="E10" s="47">
        <v>2.2370000000000001</v>
      </c>
      <c r="F10" s="48">
        <v>180</v>
      </c>
      <c r="G10" s="26">
        <f>NNE_SWT!$B$6*E10/100+F10</f>
        <v>112030</v>
      </c>
      <c r="H10" s="4">
        <f t="shared" si="0"/>
        <v>0</v>
      </c>
      <c r="I10">
        <f>IF(AND(NNE_SWT!B$6&gt;=C10,NNE_SWT!B$6&lt;=D10),1, 0)</f>
        <v>0</v>
      </c>
    </row>
    <row r="11" spans="1:9" x14ac:dyDescent="0.25">
      <c r="A11" s="15"/>
      <c r="B11" s="15"/>
      <c r="C11" s="16"/>
      <c r="D11" s="44" t="s">
        <v>48</v>
      </c>
      <c r="F11" s="17"/>
      <c r="G11" s="26">
        <f>NNE_SWT!$B$6*E10/100+F10</f>
        <v>112030</v>
      </c>
      <c r="H11" s="4">
        <f t="shared" si="0"/>
        <v>112030</v>
      </c>
      <c r="I11">
        <f>IF(NNE_SWT!B$6&gt;D10,1, 0)</f>
        <v>1</v>
      </c>
    </row>
    <row r="12" spans="1:9" ht="13" thickBot="1" x14ac:dyDescent="0.3">
      <c r="C12" s="7">
        <v>1500001</v>
      </c>
      <c r="G12" t="s">
        <v>2</v>
      </c>
      <c r="H12" s="18">
        <f>SUM(H6:H11)</f>
        <v>112030</v>
      </c>
    </row>
    <row r="13" spans="1:9" ht="13.5" thickBot="1" x14ac:dyDescent="0.35">
      <c r="G13" s="41" t="s">
        <v>46</v>
      </c>
      <c r="H13" s="19">
        <f>H12/NNE_SWT!B6*100</f>
        <v>2.2405999999999997</v>
      </c>
      <c r="I13" t="s">
        <v>5</v>
      </c>
    </row>
    <row r="16" spans="1:9" x14ac:dyDescent="0.25">
      <c r="C16" s="20"/>
      <c r="D16" s="20"/>
      <c r="E16" s="21"/>
      <c r="F16" s="21"/>
      <c r="G16" s="20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8B247-25D8-40C6-A5C7-B7F4B9A30414}">
  <sheetPr codeName="Tabelle7"/>
  <dimension ref="A1:I37"/>
  <sheetViews>
    <sheetView topLeftCell="A13" zoomScaleNormal="100" workbookViewId="0">
      <selection activeCell="E36" sqref="E36"/>
    </sheetView>
  </sheetViews>
  <sheetFormatPr baseColWidth="10" defaultRowHeight="12.5" x14ac:dyDescent="0.25"/>
  <cols>
    <col min="1" max="1" width="3.81640625" customWidth="1"/>
    <col min="2" max="2" width="4.26953125" customWidth="1"/>
    <col min="3" max="3" width="12.7265625" bestFit="1" customWidth="1"/>
    <col min="4" max="4" width="14.453125" bestFit="1" customWidth="1"/>
    <col min="5" max="5" width="11.54296875" bestFit="1" customWidth="1"/>
    <col min="6" max="6" width="18.54296875" customWidth="1"/>
    <col min="7" max="7" width="14.1796875" customWidth="1"/>
    <col min="8" max="8" width="3.7265625" customWidth="1"/>
    <col min="9" max="9" width="4" customWidth="1"/>
  </cols>
  <sheetData>
    <row r="1" spans="1:9" ht="13" x14ac:dyDescent="0.3">
      <c r="A1" s="10" t="s">
        <v>23</v>
      </c>
    </row>
    <row r="2" spans="1:9" x14ac:dyDescent="0.25">
      <c r="A2" t="s">
        <v>24</v>
      </c>
    </row>
    <row r="5" spans="1:9" ht="13" x14ac:dyDescent="0.3">
      <c r="A5" s="10" t="s">
        <v>7</v>
      </c>
    </row>
    <row r="6" spans="1:9" ht="11.25" customHeight="1" x14ac:dyDescent="0.25">
      <c r="F6" s="22"/>
      <c r="H6" s="22"/>
    </row>
    <row r="7" spans="1:9" x14ac:dyDescent="0.25">
      <c r="A7" t="s">
        <v>19</v>
      </c>
      <c r="C7" s="8" t="s">
        <v>20</v>
      </c>
      <c r="D7" s="8" t="s">
        <v>21</v>
      </c>
      <c r="G7" s="11" t="s">
        <v>3</v>
      </c>
    </row>
    <row r="8" spans="1:9" x14ac:dyDescent="0.25">
      <c r="C8" s="32" t="s">
        <v>4</v>
      </c>
      <c r="D8" s="32" t="s">
        <v>4</v>
      </c>
      <c r="E8" s="8" t="s">
        <v>12</v>
      </c>
      <c r="F8" s="8" t="s">
        <v>1</v>
      </c>
      <c r="G8" s="31" t="s">
        <v>1</v>
      </c>
    </row>
    <row r="9" spans="1:9" x14ac:dyDescent="0.25">
      <c r="A9" s="8" t="s">
        <v>25</v>
      </c>
      <c r="B9" s="8">
        <v>1</v>
      </c>
      <c r="C9" s="14">
        <v>1</v>
      </c>
      <c r="D9" s="14">
        <v>801</v>
      </c>
      <c r="E9" s="49">
        <v>22.24</v>
      </c>
      <c r="F9" s="30">
        <f>D9*E9</f>
        <v>17814.239999999998</v>
      </c>
      <c r="G9" s="6">
        <f>IF(I9=1,F9,IF(H9=1,(NNE_SWT!B$8)*E9,0))</f>
        <v>17814.239999999998</v>
      </c>
      <c r="H9">
        <f>IF(AND(NNE_SWT!B$8&gt;=C9,NNE_SWT!B$8&lt;=D9),1, 0)</f>
        <v>0</v>
      </c>
      <c r="I9">
        <f>IF(NNE_SWT!B$8&gt;=D9,1,0)</f>
        <v>1</v>
      </c>
    </row>
    <row r="10" spans="1:9" x14ac:dyDescent="0.25">
      <c r="A10" s="8" t="s">
        <v>25</v>
      </c>
      <c r="B10" s="8">
        <v>2</v>
      </c>
      <c r="C10" s="14">
        <f>D9+1</f>
        <v>802</v>
      </c>
      <c r="D10" s="14">
        <v>1857</v>
      </c>
      <c r="E10" s="49">
        <v>20.47</v>
      </c>
      <c r="F10" s="30">
        <f t="shared" ref="F10:F16" si="0">(D10-D9)*E10</f>
        <v>21616.32</v>
      </c>
      <c r="G10" s="6">
        <f>IF(I10=1,F10,IF(H10=1,(NNE_SWT!B$8-D9)*E10,0))</f>
        <v>11238.029999999999</v>
      </c>
      <c r="H10">
        <f>IF(AND(NNE_SWT!B$8&gt;=C10,NNE_SWT!B$8&lt;=D10),1, 0)</f>
        <v>1</v>
      </c>
      <c r="I10">
        <f>IF(NNE_SWT!B$8&gt;=D10,1,0)</f>
        <v>0</v>
      </c>
    </row>
    <row r="11" spans="1:9" x14ac:dyDescent="0.25">
      <c r="A11" s="8" t="s">
        <v>25</v>
      </c>
      <c r="B11" s="8">
        <v>3</v>
      </c>
      <c r="C11" s="14">
        <f t="shared" ref="C11:C16" si="1">D10+1</f>
        <v>1858</v>
      </c>
      <c r="D11" s="14">
        <v>3364</v>
      </c>
      <c r="E11" s="49">
        <v>17.690000000000001</v>
      </c>
      <c r="F11" s="30">
        <f t="shared" si="0"/>
        <v>26658.83</v>
      </c>
      <c r="G11" s="6">
        <f>IF(I11=1,F11,IF(H11=1,(NNE_SWT!B$8-D10)*E11,0))</f>
        <v>0</v>
      </c>
      <c r="H11">
        <f>IF(AND(NNE_SWT!B$8&gt;=C11,NNE_SWT!B$8&lt;=D11),1, 0)</f>
        <v>0</v>
      </c>
      <c r="I11">
        <f>IF(NNE_SWT!B$8&gt;=D11,1,0)</f>
        <v>0</v>
      </c>
    </row>
    <row r="12" spans="1:9" x14ac:dyDescent="0.25">
      <c r="A12" s="8" t="s">
        <v>25</v>
      </c>
      <c r="B12" s="8">
        <v>4</v>
      </c>
      <c r="C12" s="14">
        <f t="shared" si="1"/>
        <v>3365</v>
      </c>
      <c r="D12" s="14">
        <v>7059</v>
      </c>
      <c r="E12" s="49">
        <v>14.15</v>
      </c>
      <c r="F12" s="30">
        <f t="shared" si="0"/>
        <v>52284.25</v>
      </c>
      <c r="G12" s="6">
        <f>IF(I12=1,F12,IF(H12=1,(NNE_SWT!B$8-D11)*E12,0))</f>
        <v>0</v>
      </c>
      <c r="H12">
        <f>IF(AND(NNE_SWT!B$8&gt;=C12,NNE_SWT!B$8&lt;=D12),1, 0)</f>
        <v>0</v>
      </c>
      <c r="I12">
        <f>IF(NNE_SWT!B$8&gt;=D12,1,0)</f>
        <v>0</v>
      </c>
    </row>
    <row r="13" spans="1:9" x14ac:dyDescent="0.25">
      <c r="A13" s="8" t="s">
        <v>25</v>
      </c>
      <c r="B13" s="8">
        <v>5</v>
      </c>
      <c r="C13" s="14">
        <f t="shared" si="1"/>
        <v>7060</v>
      </c>
      <c r="D13" s="14">
        <v>10142</v>
      </c>
      <c r="E13" s="49">
        <v>12.84</v>
      </c>
      <c r="F13" s="30">
        <f t="shared" si="0"/>
        <v>39585.72</v>
      </c>
      <c r="G13" s="6">
        <f>IF(I13=1,F13,IF(H13=1,(NNE_SWT!B$8-D12)*E13,0))</f>
        <v>0</v>
      </c>
      <c r="H13">
        <f>IF(AND(NNE_SWT!B$8&gt;=C13,NNE_SWT!B$8&lt;=D13),1, 0)</f>
        <v>0</v>
      </c>
      <c r="I13">
        <f>IF(NNE_SWT!B$8&gt;=D13,1,0)</f>
        <v>0</v>
      </c>
    </row>
    <row r="14" spans="1:9" x14ac:dyDescent="0.25">
      <c r="A14" s="8" t="s">
        <v>25</v>
      </c>
      <c r="B14" s="8">
        <v>6</v>
      </c>
      <c r="C14" s="14">
        <f t="shared" si="1"/>
        <v>10143</v>
      </c>
      <c r="D14" s="14">
        <v>13073</v>
      </c>
      <c r="E14" s="49">
        <v>8.93</v>
      </c>
      <c r="F14" s="30">
        <f t="shared" si="0"/>
        <v>26173.829999999998</v>
      </c>
      <c r="G14" s="6">
        <f>IF(I14=1,F14,IF(H14=1,(NNE_SWT!B$8-D13)*E14,0))</f>
        <v>0</v>
      </c>
      <c r="H14">
        <f>IF(AND(NNE_SWT!B$8&gt;=C14,NNE_SWT!B$8&lt;=D14),1, 0)</f>
        <v>0</v>
      </c>
      <c r="I14">
        <f>IF(NNE_SWT!B$8&gt;=D14,1,0)</f>
        <v>0</v>
      </c>
    </row>
    <row r="15" spans="1:9" x14ac:dyDescent="0.25">
      <c r="A15" s="8" t="s">
        <v>25</v>
      </c>
      <c r="B15" s="8">
        <v>7</v>
      </c>
      <c r="C15" s="14">
        <f t="shared" si="1"/>
        <v>13074</v>
      </c>
      <c r="D15" s="14">
        <v>29298</v>
      </c>
      <c r="E15" s="49">
        <v>7.93</v>
      </c>
      <c r="F15" s="30">
        <f t="shared" si="0"/>
        <v>128664.25</v>
      </c>
      <c r="G15" s="6">
        <f>IF(I15=1,F15,IF(H15=1,(NNE_SWT!B$8-D14)*E15,0))</f>
        <v>0</v>
      </c>
      <c r="H15">
        <f>IF(AND(NNE_SWT!B$8&gt;=C15,NNE_SWT!B$8&lt;=D15),1, 0)</f>
        <v>0</v>
      </c>
      <c r="I15">
        <f>IF(NNE_SWT!B$8&gt;=D15,1,0)</f>
        <v>0</v>
      </c>
    </row>
    <row r="16" spans="1:9" x14ac:dyDescent="0.25">
      <c r="A16" s="8" t="s">
        <v>25</v>
      </c>
      <c r="B16" s="8">
        <v>8</v>
      </c>
      <c r="C16" s="14">
        <f t="shared" si="1"/>
        <v>29299</v>
      </c>
      <c r="D16" s="14">
        <v>99999</v>
      </c>
      <c r="E16" s="49">
        <v>7.52</v>
      </c>
      <c r="F16" s="30">
        <f t="shared" si="0"/>
        <v>531671.52</v>
      </c>
      <c r="G16" s="6">
        <f>IF(I16=1,F16,IF(H16=1,(NNE_SWT!B$8-D15)*E16,0))</f>
        <v>0</v>
      </c>
      <c r="H16">
        <f>IF(AND(NNE_SWT!B$8&gt;=C16,NNE_SWT!B$8&lt;=D16),1, 0)</f>
        <v>0</v>
      </c>
      <c r="I16">
        <f>IF(NNE_SWT!B$8&gt;=D16,1,0)</f>
        <v>0</v>
      </c>
    </row>
    <row r="17" spans="1:9" ht="13" thickBot="1" x14ac:dyDescent="0.3">
      <c r="F17" t="s">
        <v>2</v>
      </c>
      <c r="G17" s="23">
        <f>SUM(G9:G16)</f>
        <v>29052.269999999997</v>
      </c>
      <c r="H17" s="5"/>
    </row>
    <row r="18" spans="1:9" ht="13.5" thickBot="1" x14ac:dyDescent="0.35">
      <c r="F18" s="41" t="s">
        <v>47</v>
      </c>
      <c r="G18" s="24">
        <f>G17/NNE_SWT!B6*100</f>
        <v>0.58104539999999993</v>
      </c>
      <c r="H18" t="s">
        <v>5</v>
      </c>
    </row>
    <row r="19" spans="1:9" ht="13" x14ac:dyDescent="0.3">
      <c r="A19" s="10" t="s">
        <v>26</v>
      </c>
    </row>
    <row r="21" spans="1:9" x14ac:dyDescent="0.25">
      <c r="A21" t="s">
        <v>9</v>
      </c>
    </row>
    <row r="24" spans="1:9" ht="13" x14ac:dyDescent="0.3">
      <c r="A24" s="10" t="s">
        <v>18</v>
      </c>
      <c r="F24" s="22"/>
      <c r="H24" s="22"/>
    </row>
    <row r="25" spans="1:9" x14ac:dyDescent="0.25">
      <c r="A25" t="s">
        <v>19</v>
      </c>
      <c r="C25" s="8" t="s">
        <v>20</v>
      </c>
      <c r="D25" s="8" t="s">
        <v>21</v>
      </c>
      <c r="G25" s="11" t="s">
        <v>3</v>
      </c>
    </row>
    <row r="26" spans="1:9" x14ac:dyDescent="0.25">
      <c r="C26" s="32" t="s">
        <v>0</v>
      </c>
      <c r="D26" s="32" t="s">
        <v>0</v>
      </c>
      <c r="E26" s="8" t="s">
        <v>5</v>
      </c>
      <c r="F26" s="8" t="s">
        <v>1</v>
      </c>
      <c r="G26" s="31" t="s">
        <v>1</v>
      </c>
    </row>
    <row r="27" spans="1:9" x14ac:dyDescent="0.25">
      <c r="A27" s="8" t="s">
        <v>27</v>
      </c>
      <c r="B27" s="8">
        <v>1</v>
      </c>
      <c r="C27" s="2">
        <v>1</v>
      </c>
      <c r="D27" s="14">
        <v>1500000</v>
      </c>
      <c r="E27" s="50">
        <v>0.42</v>
      </c>
      <c r="F27" s="30">
        <f>D27*E27/100</f>
        <v>6300</v>
      </c>
      <c r="G27" s="6">
        <f>IF(I27=1,F27,IF(H27=1,(NNE_SWT!B$6)/100*E27,0))</f>
        <v>6300</v>
      </c>
      <c r="H27">
        <f>IF(AND(NNE_SWT!B$6&gt;=C27,NNE_SWT!B$6&lt;=D27),1, 0)</f>
        <v>0</v>
      </c>
      <c r="I27">
        <f>IF(NNE_SWT!B$6&gt;=D27,1,0)</f>
        <v>1</v>
      </c>
    </row>
    <row r="28" spans="1:9" x14ac:dyDescent="0.25">
      <c r="A28" s="8" t="s">
        <v>27</v>
      </c>
      <c r="B28" s="8">
        <v>2</v>
      </c>
      <c r="C28" s="14">
        <f>D27+1</f>
        <v>1500001</v>
      </c>
      <c r="D28" s="14">
        <v>4000000</v>
      </c>
      <c r="E28" s="50">
        <v>0.37</v>
      </c>
      <c r="F28" s="30">
        <f t="shared" ref="F28:F34" si="2">(D28-D27)*E28/100</f>
        <v>9250</v>
      </c>
      <c r="G28" s="6">
        <f>IF(I28=1,F28,IF(H28=1,(NNE_SWT!B$6-D27)/100*E28,0))</f>
        <v>9250</v>
      </c>
      <c r="H28">
        <f>IF(AND(NNE_SWT!B$6&gt;=C28,NNE_SWT!B$6&lt;=D28),1, 0)</f>
        <v>0</v>
      </c>
      <c r="I28">
        <f>IF(NNE_SWT!B$6&gt;=D28,1,0)</f>
        <v>1</v>
      </c>
    </row>
    <row r="29" spans="1:9" x14ac:dyDescent="0.25">
      <c r="A29" s="8" t="s">
        <v>27</v>
      </c>
      <c r="B29" s="8">
        <v>3</v>
      </c>
      <c r="C29" s="14">
        <f t="shared" ref="C29:C34" si="3">D28+1</f>
        <v>4000001</v>
      </c>
      <c r="D29" s="14">
        <v>8000000</v>
      </c>
      <c r="E29" s="50">
        <v>0.309</v>
      </c>
      <c r="F29" s="30">
        <f t="shared" si="2"/>
        <v>12360</v>
      </c>
      <c r="G29" s="6">
        <f>IF(I29=1,F29,IF(H29=1,(NNE_SWT!B$6-D28)/100*E29,0))</f>
        <v>3090</v>
      </c>
      <c r="H29">
        <f>IF(AND(NNE_SWT!B$6&gt;=C29,NNE_SWT!B$6&lt;=D29),1, 0)</f>
        <v>1</v>
      </c>
      <c r="I29">
        <f>IF(NNE_SWT!B$6&gt;=D29,1,0)</f>
        <v>0</v>
      </c>
    </row>
    <row r="30" spans="1:9" x14ac:dyDescent="0.25">
      <c r="A30" s="8" t="s">
        <v>27</v>
      </c>
      <c r="B30" s="8">
        <v>4</v>
      </c>
      <c r="C30" s="14">
        <f t="shared" si="3"/>
        <v>8000001</v>
      </c>
      <c r="D30" s="14">
        <v>19000000</v>
      </c>
      <c r="E30" s="50">
        <v>0.246</v>
      </c>
      <c r="F30" s="30">
        <f t="shared" si="2"/>
        <v>27060</v>
      </c>
      <c r="G30" s="6">
        <f>IF(I30=1,F30,IF(H30=1,(NNE_SWT!B$6-D29)/100*E30,0))</f>
        <v>0</v>
      </c>
      <c r="H30">
        <f>IF(AND(NNE_SWT!B$6&gt;=C30,NNE_SWT!B$6&lt;=D30),1, 0)</f>
        <v>0</v>
      </c>
      <c r="I30">
        <f>IF(NNE_SWT!B$6&gt;=D30,1,0)</f>
        <v>0</v>
      </c>
    </row>
    <row r="31" spans="1:9" x14ac:dyDescent="0.25">
      <c r="A31" s="8" t="s">
        <v>27</v>
      </c>
      <c r="B31" s="8">
        <v>5</v>
      </c>
      <c r="C31" s="14">
        <f t="shared" si="3"/>
        <v>19000001</v>
      </c>
      <c r="D31" s="14">
        <v>29000000</v>
      </c>
      <c r="E31" s="50">
        <v>0.19600000000000001</v>
      </c>
      <c r="F31" s="30">
        <f t="shared" si="2"/>
        <v>19600</v>
      </c>
      <c r="G31" s="6">
        <f>IF(I31=1,F31,IF(H31=1,(NNE_SWT!B$6-D30)/100*E31,0))</f>
        <v>0</v>
      </c>
      <c r="H31">
        <f>IF(AND(NNE_SWT!B$6&gt;=C31,NNE_SWT!B$6&lt;=D31),1, 0)</f>
        <v>0</v>
      </c>
      <c r="I31">
        <f>IF(NNE_SWT!B$6&gt;=D31,1,0)</f>
        <v>0</v>
      </c>
    </row>
    <row r="32" spans="1:9" x14ac:dyDescent="0.25">
      <c r="A32" s="8" t="s">
        <v>27</v>
      </c>
      <c r="B32" s="8">
        <v>6</v>
      </c>
      <c r="C32" s="14">
        <f t="shared" si="3"/>
        <v>29000001</v>
      </c>
      <c r="D32" s="14">
        <v>39000000</v>
      </c>
      <c r="E32" s="50">
        <v>0.186</v>
      </c>
      <c r="F32" s="30">
        <f t="shared" si="2"/>
        <v>18600</v>
      </c>
      <c r="G32" s="6">
        <f>IF(I32=1,F32,IF(H32=1,(NNE_SWT!B$6-D31)/100*E32,0))</f>
        <v>0</v>
      </c>
      <c r="H32">
        <f>IF(AND(NNE_SWT!B$6&gt;=C32,NNE_SWT!B$6&lt;=D32),1, 0)</f>
        <v>0</v>
      </c>
      <c r="I32">
        <f>IF(NNE_SWT!B$6&gt;=D32,1,0)</f>
        <v>0</v>
      </c>
    </row>
    <row r="33" spans="1:9" x14ac:dyDescent="0.25">
      <c r="A33" s="8" t="s">
        <v>27</v>
      </c>
      <c r="B33" s="8">
        <v>7</v>
      </c>
      <c r="C33" s="14">
        <f t="shared" si="3"/>
        <v>39000001</v>
      </c>
      <c r="D33" s="14">
        <v>100000000</v>
      </c>
      <c r="E33" s="50">
        <v>0.16600000000000001</v>
      </c>
      <c r="F33" s="30">
        <f t="shared" si="2"/>
        <v>101260</v>
      </c>
      <c r="G33" s="6">
        <f>IF(I33=1,F33,IF(H33=1,(NNE_SWT!B$6-D32)/100*E33,0))</f>
        <v>0</v>
      </c>
      <c r="H33">
        <f>IF(AND(NNE_SWT!B$6&gt;=C33,NNE_SWT!B$6&lt;=D33),1, 0)</f>
        <v>0</v>
      </c>
      <c r="I33">
        <f>IF(NNE_SWT!B$6&gt;=D33,1,0)</f>
        <v>0</v>
      </c>
    </row>
    <row r="34" spans="1:9" x14ac:dyDescent="0.25">
      <c r="A34" s="8" t="s">
        <v>27</v>
      </c>
      <c r="B34" s="8">
        <v>8</v>
      </c>
      <c r="C34" s="14">
        <f t="shared" si="3"/>
        <v>100000001</v>
      </c>
      <c r="D34" s="14">
        <v>1000000000</v>
      </c>
      <c r="E34" s="50">
        <v>0.16300000000000001</v>
      </c>
      <c r="F34" s="30">
        <f t="shared" si="2"/>
        <v>1467000</v>
      </c>
      <c r="G34" s="6">
        <f>IF(I34=1,F34,IF(H34=1,(NNE_SWT!B$6-D33)/100*E34,0))</f>
        <v>0</v>
      </c>
      <c r="H34">
        <f>IF(AND(NNE_SWT!B$6&gt;=C34,NNE_SWT!B$6&lt;=D34),1, 0)</f>
        <v>0</v>
      </c>
      <c r="I34">
        <f>IF(NNE_SWT!B$6&gt;=D34,1,0)</f>
        <v>0</v>
      </c>
    </row>
    <row r="35" spans="1:9" ht="13" thickBot="1" x14ac:dyDescent="0.3">
      <c r="F35" t="s">
        <v>2</v>
      </c>
      <c r="G35" s="23">
        <f>SUM(G27:G34)</f>
        <v>18640</v>
      </c>
    </row>
    <row r="36" spans="1:9" ht="13.5" thickBot="1" x14ac:dyDescent="0.35">
      <c r="D36" s="10"/>
      <c r="E36" s="10"/>
      <c r="F36" s="41" t="s">
        <v>46</v>
      </c>
      <c r="G36" s="24">
        <f>G35/NNE_SWT!B6*100</f>
        <v>0.37280000000000002</v>
      </c>
      <c r="H36" t="s">
        <v>5</v>
      </c>
      <c r="I36" s="10"/>
    </row>
    <row r="37" spans="1:9" ht="13" x14ac:dyDescent="0.3">
      <c r="D37" s="10"/>
      <c r="E37" s="10"/>
      <c r="F37" s="25"/>
      <c r="G37" s="10"/>
      <c r="H37" s="25"/>
      <c r="I37" s="10"/>
    </row>
  </sheetData>
  <phoneticPr fontId="2" type="noConversion"/>
  <pageMargins left="0.78740157499999996" right="0.78740157499999996" top="0.984251969" bottom="0.984251969" header="0.4921259845" footer="0.4921259845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NNE_SWT</vt:lpstr>
      <vt:lpstr>SLP</vt:lpstr>
      <vt:lpstr>RLM</vt:lpstr>
      <vt:lpstr>RLM!Druckbereich</vt:lpstr>
    </vt:vector>
  </TitlesOfParts>
  <Company>Stadtwerke Tübingen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thomash</dc:creator>
  <cp:lastModifiedBy>Timo Zimmermann - Stadtwerke Tuebingen GmbH</cp:lastModifiedBy>
  <cp:lastPrinted>2007-07-24T12:41:13Z</cp:lastPrinted>
  <dcterms:created xsi:type="dcterms:W3CDTF">2007-06-25T09:03:42Z</dcterms:created>
  <dcterms:modified xsi:type="dcterms:W3CDTF">2026-10-08T09:50:52Z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